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ikunj\Documents\"/>
    </mc:Choice>
  </mc:AlternateContent>
  <xr:revisionPtr revIDLastSave="0" documentId="13_ncr:1_{3C8F2D14-46FE-45E3-85BF-F11C77C66040}" xr6:coauthVersionLast="47" xr6:coauthVersionMax="47" xr10:uidLastSave="{00000000-0000-0000-0000-000000000000}"/>
  <bookViews>
    <workbookView xWindow="20370" yWindow="-120" windowWidth="29040" windowHeight="15720" xr2:uid="{1753A3F5-535A-447C-93B2-DF87B476509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H37" i="1"/>
  <c r="F38" i="1"/>
  <c r="F21" i="1" l="1"/>
  <c r="F33" i="1"/>
  <c r="F35" i="1" l="1"/>
  <c r="F36" i="1"/>
  <c r="F37" i="1" s="1"/>
  <c r="F22" i="1"/>
  <c r="F24" i="1" l="1"/>
  <c r="F27" i="1" l="1"/>
  <c r="F26" i="1"/>
  <c r="F28" i="1" l="1"/>
  <c r="F29" i="1" s="1"/>
  <c r="F31" i="1" s="1"/>
  <c r="F32" i="1" l="1"/>
  <c r="F40" i="1"/>
  <c r="H20" i="1" l="1"/>
  <c r="F41" i="1"/>
  <c r="F43" i="1"/>
  <c r="H32" i="1" s="1"/>
  <c r="H33" i="1" s="1"/>
  <c r="H21" i="1" l="1"/>
  <c r="H35" i="1" s="1"/>
  <c r="H22" i="1" l="1"/>
  <c r="H24" i="1" s="1"/>
  <c r="H27" i="1" l="1"/>
  <c r="H36" i="1"/>
  <c r="H38" i="1"/>
  <c r="H26" i="1"/>
  <c r="H28" i="1" l="1"/>
  <c r="H29" i="1" s="1"/>
  <c r="H31" i="1" s="1"/>
  <c r="H40" i="1" s="1"/>
  <c r="J20" i="1" s="1"/>
  <c r="H41" i="1" l="1"/>
  <c r="H43" i="1"/>
  <c r="J32" i="1" s="1"/>
  <c r="J33" i="1" s="1"/>
  <c r="J21" i="1"/>
  <c r="J35" i="1" l="1"/>
  <c r="J22" i="1"/>
  <c r="J36" i="1" s="1"/>
  <c r="J37" i="1" s="1"/>
  <c r="J38" i="1" l="1"/>
  <c r="J24" i="1"/>
  <c r="J26" i="1" l="1"/>
  <c r="J27" i="1"/>
  <c r="J28" i="1" l="1"/>
  <c r="J29" i="1" s="1"/>
  <c r="J31" i="1" s="1"/>
  <c r="J40" i="1" s="1"/>
  <c r="J43" i="1" l="1"/>
  <c r="L32" i="1" s="1"/>
  <c r="L33" i="1" s="1"/>
  <c r="L20" i="1"/>
  <c r="L21" i="1" s="1"/>
  <c r="J41" i="1"/>
  <c r="L35" i="1" l="1"/>
  <c r="L22" i="1"/>
  <c r="L38" i="1" l="1"/>
  <c r="L36" i="1"/>
  <c r="L37" i="1" s="1"/>
  <c r="L24" i="1"/>
  <c r="L26" i="1" l="1"/>
  <c r="L27" i="1"/>
  <c r="L28" i="1" l="1"/>
  <c r="L29" i="1" s="1"/>
  <c r="L31" i="1" s="1"/>
  <c r="L40" i="1" s="1"/>
  <c r="N20" i="1" l="1"/>
  <c r="L41" i="1"/>
  <c r="L43" i="1"/>
  <c r="N32" i="1" s="1"/>
  <c r="N33" i="1" s="1"/>
  <c r="N21" i="1" l="1"/>
  <c r="N35" i="1" s="1"/>
  <c r="N22" i="1" l="1"/>
  <c r="N36" i="1" l="1"/>
  <c r="N37" i="1" s="1"/>
  <c r="N38" i="1"/>
  <c r="N24" i="1"/>
  <c r="N27" i="1" l="1"/>
  <c r="N26" i="1"/>
  <c r="N28" i="1" l="1"/>
  <c r="N29" i="1" s="1"/>
  <c r="N31" i="1" s="1"/>
  <c r="N40" i="1" s="1"/>
  <c r="N41" i="1" l="1"/>
  <c r="N43" i="1"/>
</calcChain>
</file>

<file path=xl/sharedStrings.xml><?xml version="1.0" encoding="utf-8"?>
<sst xmlns="http://schemas.openxmlformats.org/spreadsheetml/2006/main" count="78" uniqueCount="73">
  <si>
    <t>Variables can be changed</t>
  </si>
  <si>
    <t>Assumptions</t>
  </si>
  <si>
    <t>Capital Contribution (Rs.)</t>
  </si>
  <si>
    <t>a</t>
  </si>
  <si>
    <t>Management Fee (%age per annum)</t>
  </si>
  <si>
    <t>b</t>
  </si>
  <si>
    <t>Other Expenses (%age per annum)</t>
  </si>
  <si>
    <t>c</t>
  </si>
  <si>
    <t>Performance (%age per annum)</t>
  </si>
  <si>
    <t>d</t>
  </si>
  <si>
    <t>Hurdle Rate of Return (%age per annum)</t>
  </si>
  <si>
    <t>e</t>
  </si>
  <si>
    <t>Brokerage and Transaction cost</t>
  </si>
  <si>
    <t>f</t>
  </si>
  <si>
    <t>Fees</t>
  </si>
  <si>
    <t>Yr 1</t>
  </si>
  <si>
    <t>Yr 2</t>
  </si>
  <si>
    <t>Yr 3</t>
  </si>
  <si>
    <t>Yr 4</t>
  </si>
  <si>
    <t>Yr 5</t>
  </si>
  <si>
    <t>Gain / (Loss)</t>
  </si>
  <si>
    <t xml:space="preserve">Capital Contributed /Assets under Management </t>
  </si>
  <si>
    <t>i</t>
  </si>
  <si>
    <t>i=a</t>
  </si>
  <si>
    <t xml:space="preserve">Gain / (Loss) on Investment based on the Scenario </t>
  </si>
  <si>
    <t>ii</t>
  </si>
  <si>
    <t xml:space="preserve">ii=i*Yr </t>
  </si>
  <si>
    <t xml:space="preserve">Gross Value of the Portfolio at the end of the year </t>
  </si>
  <si>
    <t>iii</t>
  </si>
  <si>
    <t>iii=i+ii</t>
  </si>
  <si>
    <t xml:space="preserve">Daily Weighted Average assets under management </t>
  </si>
  <si>
    <t>iv</t>
  </si>
  <si>
    <t>iv=(i+iii)/2</t>
  </si>
  <si>
    <t>Other Expense</t>
  </si>
  <si>
    <t>v</t>
  </si>
  <si>
    <t>v=iv*c</t>
  </si>
  <si>
    <t>vi</t>
  </si>
  <si>
    <t>vi=iv*f</t>
  </si>
  <si>
    <t>Management Fees (Including GST)</t>
  </si>
  <si>
    <t>vii</t>
  </si>
  <si>
    <t>vii=(iv+v+vi)*b</t>
  </si>
  <si>
    <t>Total charges during the year (Sum of v, vi and vii)</t>
  </si>
  <si>
    <t>viii</t>
  </si>
  <si>
    <t>viii=v+vi+vii</t>
  </si>
  <si>
    <t xml:space="preserve">Value of the Portfolio before Performance fee </t>
  </si>
  <si>
    <t>ix</t>
  </si>
  <si>
    <t>ix=iii+viii</t>
  </si>
  <si>
    <t>High Water Mark Value (HWM)</t>
  </si>
  <si>
    <t>x</t>
  </si>
  <si>
    <t xml:space="preserve">Hurdle Rate of return </t>
  </si>
  <si>
    <t>xi</t>
  </si>
  <si>
    <t>xi=i*e</t>
  </si>
  <si>
    <t>Portfolio value in excess of Hurdle Rate Return</t>
  </si>
  <si>
    <t>xii</t>
  </si>
  <si>
    <t>xii=ii-xi</t>
  </si>
  <si>
    <t>Profit share of the PMS</t>
  </si>
  <si>
    <t>xiii</t>
  </si>
  <si>
    <t>xiii=ii*d</t>
  </si>
  <si>
    <t>Profit Share To be taken by PMS (Including GST)</t>
  </si>
  <si>
    <t>xiv</t>
  </si>
  <si>
    <t>Is the Performance Fee charged?</t>
  </si>
  <si>
    <t>xvi</t>
  </si>
  <si>
    <t>Net value of the Portfolio at the end of the year after all fees and expenses</t>
  </si>
  <si>
    <t>xvii</t>
  </si>
  <si>
    <t>xvii=ix+xiv</t>
  </si>
  <si>
    <t>% Portfolio Return (Post Fees)</t>
  </si>
  <si>
    <t>xviii</t>
  </si>
  <si>
    <t>xviii=(xvii-i)/i</t>
  </si>
  <si>
    <t>High Water Mark to be carried forward for next year</t>
  </si>
  <si>
    <t>xix</t>
  </si>
  <si>
    <t>Max (xvii)</t>
  </si>
  <si>
    <t>Input</t>
  </si>
  <si>
    <t>Fee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</si>
</sst>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6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sz val="12"/>
      <color rgb="FF3F3F76"/>
      <name val="Aptos Narrow"/>
      <family val="2"/>
      <scheme val="minor"/>
    </font>
    <font>
      <sz val="12"/>
      <color theme="1"/>
      <name val="Red Hat Text"/>
    </font>
    <font>
      <sz val="12"/>
      <name val="Red Hat Text"/>
    </font>
    <font>
      <sz val="16"/>
      <color theme="1"/>
      <name val="Red Hat Text"/>
    </font>
    <font>
      <b/>
      <sz val="16"/>
      <color theme="1"/>
      <name val="Red Hat Text"/>
    </font>
    <font>
      <sz val="16"/>
      <color theme="0"/>
      <name val="Red Hat Text"/>
    </font>
    <font>
      <b/>
      <sz val="16"/>
      <color theme="0"/>
      <name val="Calibri"/>
      <family val="2"/>
    </font>
    <font>
      <sz val="16"/>
      <color theme="0"/>
      <name val="Calibri"/>
      <family val="2"/>
    </font>
    <font>
      <sz val="36"/>
      <color rgb="FFD4AF36"/>
      <name val="Red Hat Text"/>
    </font>
    <font>
      <sz val="16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883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4" borderId="16" applyNumberFormat="0" applyAlignment="0" applyProtection="0"/>
  </cellStyleXfs>
  <cellXfs count="7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/>
    <xf numFmtId="0" fontId="1" fillId="0" borderId="5" xfId="0" applyFont="1" applyBorder="1" applyAlignment="1">
      <alignment vertical="center"/>
    </xf>
    <xf numFmtId="0" fontId="0" fillId="0" borderId="7" xfId="0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0" fontId="1" fillId="3" borderId="0" xfId="0" applyNumberFormat="1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21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0" fontId="7" fillId="3" borderId="0" xfId="0" applyNumberFormat="1" applyFont="1" applyFill="1" applyAlignment="1">
      <alignment vertical="center"/>
    </xf>
    <xf numFmtId="0" fontId="7" fillId="0" borderId="6" xfId="0" applyFont="1" applyBorder="1" applyAlignment="1" applyProtection="1">
      <alignment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6" xfId="0" quotePrefix="1" applyFont="1" applyBorder="1" applyAlignment="1" applyProtection="1">
      <alignment vertical="center" wrapText="1"/>
      <protection hidden="1"/>
    </xf>
    <xf numFmtId="0" fontId="7" fillId="9" borderId="6" xfId="0" applyFont="1" applyFill="1" applyBorder="1" applyAlignment="1" applyProtection="1">
      <alignment vertical="center" wrapText="1"/>
      <protection hidden="1"/>
    </xf>
    <xf numFmtId="0" fontId="7" fillId="9" borderId="6" xfId="0" applyFont="1" applyFill="1" applyBorder="1" applyAlignment="1" applyProtection="1">
      <alignment horizontal="center" vertical="center" wrapText="1"/>
      <protection hidden="1"/>
    </xf>
    <xf numFmtId="0" fontId="7" fillId="9" borderId="6" xfId="0" quotePrefix="1" applyFont="1" applyFill="1" applyBorder="1" applyAlignment="1" applyProtection="1">
      <alignment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11" fillId="8" borderId="6" xfId="0" applyFont="1" applyFill="1" applyBorder="1" applyAlignment="1" applyProtection="1">
      <alignment vertical="center" wrapText="1"/>
      <protection hidden="1"/>
    </xf>
    <xf numFmtId="0" fontId="11" fillId="8" borderId="6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10" fontId="7" fillId="3" borderId="6" xfId="0" applyNumberFormat="1" applyFont="1" applyFill="1" applyBorder="1" applyAlignment="1" applyProtection="1">
      <alignment vertical="center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10" fontId="7" fillId="3" borderId="20" xfId="0" applyNumberFormat="1" applyFont="1" applyFill="1" applyBorder="1" applyAlignment="1" applyProtection="1">
      <alignment vertical="center"/>
      <protection hidden="1"/>
    </xf>
    <xf numFmtId="3" fontId="11" fillId="10" borderId="16" xfId="1" applyNumberFormat="1" applyFont="1" applyFill="1" applyAlignment="1" applyProtection="1">
      <alignment vertical="center"/>
      <protection locked="0"/>
    </xf>
    <xf numFmtId="9" fontId="15" fillId="10" borderId="6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1" fillId="10" borderId="0" xfId="1" applyFont="1" applyFill="1" applyBorder="1" applyAlignment="1">
      <alignment horizontal="center" vertical="center"/>
    </xf>
    <xf numFmtId="0" fontId="12" fillId="5" borderId="12" xfId="0" applyFont="1" applyFill="1" applyBorder="1" applyAlignment="1" applyProtection="1">
      <alignment horizontal="center" vertical="center" wrapText="1"/>
      <protection hidden="1"/>
    </xf>
    <xf numFmtId="0" fontId="13" fillId="5" borderId="12" xfId="0" applyFont="1" applyFill="1" applyBorder="1" applyProtection="1">
      <protection hidden="1"/>
    </xf>
    <xf numFmtId="0" fontId="13" fillId="5" borderId="19" xfId="0" applyFont="1" applyFill="1" applyBorder="1" applyProtection="1">
      <protection hidden="1"/>
    </xf>
    <xf numFmtId="0" fontId="13" fillId="5" borderId="6" xfId="0" applyFont="1" applyFill="1" applyBorder="1" applyProtection="1">
      <protection hidden="1"/>
    </xf>
    <xf numFmtId="0" fontId="13" fillId="5" borderId="8" xfId="0" applyFont="1" applyFill="1" applyBorder="1" applyProtection="1">
      <protection hidden="1"/>
    </xf>
    <xf numFmtId="0" fontId="13" fillId="6" borderId="9" xfId="0" applyFont="1" applyFill="1" applyBorder="1" applyAlignment="1" applyProtection="1">
      <alignment horizontal="center" vertical="center"/>
      <protection hidden="1"/>
    </xf>
    <xf numFmtId="0" fontId="13" fillId="6" borderId="22" xfId="0" applyFont="1" applyFill="1" applyBorder="1" applyProtection="1">
      <protection hidden="1"/>
    </xf>
    <xf numFmtId="0" fontId="7" fillId="0" borderId="0" xfId="0" applyFont="1" applyProtection="1">
      <protection hidden="1"/>
    </xf>
    <xf numFmtId="0" fontId="7" fillId="0" borderId="7" xfId="0" applyFont="1" applyBorder="1" applyProtection="1">
      <protection hidden="1"/>
    </xf>
    <xf numFmtId="0" fontId="13" fillId="6" borderId="1" xfId="0" applyFont="1" applyFill="1" applyBorder="1" applyAlignment="1" applyProtection="1">
      <alignment horizontal="center" vertical="center"/>
      <protection hidden="1"/>
    </xf>
    <xf numFmtId="0" fontId="13" fillId="6" borderId="17" xfId="0" applyFont="1" applyFill="1" applyBorder="1" applyAlignment="1" applyProtection="1">
      <alignment horizontal="center" vertical="center"/>
      <protection hidden="1"/>
    </xf>
    <xf numFmtId="0" fontId="13" fillId="6" borderId="18" xfId="0" applyFont="1" applyFill="1" applyBorder="1" applyAlignment="1" applyProtection="1">
      <alignment horizontal="center" vertical="center"/>
      <protection hidden="1"/>
    </xf>
    <xf numFmtId="0" fontId="13" fillId="6" borderId="4" xfId="0" applyFont="1" applyFill="1" applyBorder="1" applyAlignment="1" applyProtection="1">
      <alignment horizontal="center" vertical="center"/>
      <protection hidden="1"/>
    </xf>
    <xf numFmtId="164" fontId="7" fillId="9" borderId="6" xfId="0" applyNumberFormat="1" applyFont="1" applyFill="1" applyBorder="1" applyAlignment="1" applyProtection="1">
      <alignment horizontal="right" vertical="center"/>
      <protection hidden="1"/>
    </xf>
    <xf numFmtId="0" fontId="8" fillId="9" borderId="6" xfId="0" applyFont="1" applyFill="1" applyBorder="1" applyProtection="1">
      <protection hidden="1"/>
    </xf>
    <xf numFmtId="0" fontId="8" fillId="9" borderId="13" xfId="0" applyFont="1" applyFill="1" applyBorder="1" applyProtection="1">
      <protection hidden="1"/>
    </xf>
    <xf numFmtId="165" fontId="7" fillId="0" borderId="6" xfId="0" applyNumberFormat="1" applyFont="1" applyBorder="1" applyAlignment="1" applyProtection="1">
      <alignment horizontal="right" vertical="center"/>
      <protection hidden="1"/>
    </xf>
    <xf numFmtId="0" fontId="8" fillId="0" borderId="6" xfId="0" applyFont="1" applyBorder="1" applyProtection="1">
      <protection hidden="1"/>
    </xf>
    <xf numFmtId="0" fontId="8" fillId="0" borderId="13" xfId="0" applyFont="1" applyBorder="1" applyProtection="1"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164" fontId="7" fillId="0" borderId="6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164" fontId="7" fillId="0" borderId="10" xfId="0" applyNumberFormat="1" applyFont="1" applyBorder="1" applyAlignment="1" applyProtection="1">
      <alignment horizontal="right" vertical="center"/>
      <protection hidden="1"/>
    </xf>
    <xf numFmtId="0" fontId="8" fillId="0" borderId="10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7" fillId="0" borderId="6" xfId="0" applyFont="1" applyBorder="1" applyAlignment="1" applyProtection="1">
      <alignment horizontal="right" vertical="center"/>
      <protection hidden="1"/>
    </xf>
    <xf numFmtId="10" fontId="11" fillId="8" borderId="6" xfId="0" applyNumberFormat="1" applyFont="1" applyFill="1" applyBorder="1" applyAlignment="1" applyProtection="1">
      <alignment horizontal="right" vertical="center"/>
      <protection hidden="1"/>
    </xf>
    <xf numFmtId="0" fontId="11" fillId="8" borderId="6" xfId="0" applyFont="1" applyFill="1" applyBorder="1" applyProtection="1">
      <protection hidden="1"/>
    </xf>
    <xf numFmtId="0" fontId="11" fillId="8" borderId="13" xfId="0" applyFont="1" applyFill="1" applyBorder="1" applyProtection="1">
      <protection hidden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988343"/>
      <color rgb="FFD4AF36"/>
      <color rgb="FFF6F6F6"/>
      <color rgb="FFFFD34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114300</xdr:rowOff>
    </xdr:from>
    <xdr:to>
      <xdr:col>2</xdr:col>
      <xdr:colOff>1759681</xdr:colOff>
      <xdr:row>4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42233E-46E5-2117-0B46-D149E2740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376"/>
        <a:stretch/>
      </xdr:blipFill>
      <xdr:spPr>
        <a:xfrm>
          <a:off x="342900" y="304800"/>
          <a:ext cx="2407381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213E-2486-47D4-A883-ACFB4B6EED83}">
  <dimension ref="B4:O46"/>
  <sheetViews>
    <sheetView showGridLines="0" tabSelected="1" topLeftCell="A6" workbookViewId="0">
      <selection activeCell="R22" sqref="R22"/>
    </sheetView>
  </sheetViews>
  <sheetFormatPr defaultColWidth="8.85546875" defaultRowHeight="15"/>
  <cols>
    <col min="2" max="2" width="4.140625" customWidth="1"/>
    <col min="3" max="3" width="48" customWidth="1"/>
    <col min="4" max="4" width="8" customWidth="1"/>
    <col min="5" max="5" width="19.7109375" customWidth="1"/>
    <col min="6" max="6" width="12.85546875" customWidth="1"/>
    <col min="7" max="7" width="5.7109375" bestFit="1" customWidth="1"/>
    <col min="8" max="8" width="14.7109375" customWidth="1"/>
    <col min="9" max="9" width="6.140625" customWidth="1"/>
    <col min="10" max="10" width="13.7109375" customWidth="1"/>
    <col min="11" max="11" width="6.140625" customWidth="1"/>
    <col min="12" max="12" width="13.7109375" customWidth="1"/>
    <col min="13" max="13" width="6.140625" customWidth="1"/>
    <col min="14" max="14" width="13" customWidth="1"/>
    <col min="15" max="15" width="6.140625" customWidth="1"/>
  </cols>
  <sheetData>
    <row r="4" spans="2:15" ht="47.1" customHeight="1">
      <c r="E4" s="42" t="s">
        <v>72</v>
      </c>
      <c r="F4" s="42"/>
      <c r="G4" s="42"/>
      <c r="H4" s="42"/>
      <c r="N4" s="43" t="s">
        <v>71</v>
      </c>
      <c r="O4" s="43"/>
    </row>
    <row r="5" spans="2:15" ht="32.1" customHeight="1"/>
    <row r="6" spans="2:15" ht="15" customHeight="1" thickBot="1"/>
    <row r="7" spans="2:15" ht="54" customHeight="1">
      <c r="B7" s="1"/>
      <c r="C7" s="16"/>
      <c r="D7" s="16"/>
      <c r="E7" s="21" t="s">
        <v>0</v>
      </c>
      <c r="F7" s="2"/>
      <c r="G7" s="2"/>
      <c r="H7" s="2"/>
      <c r="I7" s="2"/>
      <c r="J7" s="2"/>
      <c r="K7" s="2"/>
      <c r="L7" s="2"/>
      <c r="M7" s="2"/>
      <c r="N7" s="2"/>
      <c r="O7" s="3"/>
    </row>
    <row r="8" spans="2:15" ht="20.25">
      <c r="B8" s="4"/>
      <c r="C8" s="15" t="s">
        <v>1</v>
      </c>
      <c r="D8" s="18"/>
      <c r="E8" s="17"/>
      <c r="F8" s="12"/>
      <c r="G8" s="12"/>
      <c r="H8" s="12"/>
      <c r="I8" s="12"/>
      <c r="J8" s="12"/>
      <c r="K8" s="12"/>
      <c r="L8" s="12"/>
      <c r="M8" s="12"/>
      <c r="N8" s="12"/>
      <c r="O8" s="5"/>
    </row>
    <row r="9" spans="2:15" ht="36.950000000000003" customHeight="1">
      <c r="B9" s="4"/>
      <c r="C9" s="19" t="s">
        <v>2</v>
      </c>
      <c r="D9" s="20" t="s">
        <v>3</v>
      </c>
      <c r="E9" s="40">
        <v>5000000</v>
      </c>
      <c r="F9" s="12"/>
      <c r="G9" s="12"/>
      <c r="H9" s="12"/>
      <c r="I9" s="12"/>
      <c r="J9" s="12"/>
      <c r="K9" s="12"/>
      <c r="L9" s="12"/>
      <c r="M9" s="12"/>
      <c r="N9" s="12"/>
      <c r="O9" s="5"/>
    </row>
    <row r="10" spans="2:15">
      <c r="B10" s="4"/>
      <c r="C10" s="25" t="s">
        <v>4</v>
      </c>
      <c r="D10" s="26" t="s">
        <v>5</v>
      </c>
      <c r="E10" s="36">
        <v>0.01</v>
      </c>
      <c r="F10" s="12"/>
      <c r="G10" s="12"/>
      <c r="H10" s="12"/>
      <c r="I10" s="12"/>
      <c r="J10" s="12"/>
      <c r="K10" s="12"/>
      <c r="L10" s="12"/>
      <c r="M10" s="12"/>
      <c r="N10" s="12"/>
      <c r="O10" s="5"/>
    </row>
    <row r="11" spans="2:15">
      <c r="B11" s="4"/>
      <c r="C11" s="25" t="s">
        <v>6</v>
      </c>
      <c r="D11" s="26" t="s">
        <v>7</v>
      </c>
      <c r="E11" s="36">
        <v>2.0000000000000001E-4</v>
      </c>
      <c r="F11" s="12"/>
      <c r="G11" s="12"/>
      <c r="H11" s="12"/>
      <c r="I11" s="12"/>
      <c r="J11" s="12"/>
      <c r="K11" s="12"/>
      <c r="L11" s="12"/>
      <c r="M11" s="12"/>
      <c r="N11" s="12"/>
      <c r="O11" s="5"/>
    </row>
    <row r="12" spans="2:15">
      <c r="B12" s="4"/>
      <c r="C12" s="25" t="s">
        <v>8</v>
      </c>
      <c r="D12" s="26" t="s">
        <v>9</v>
      </c>
      <c r="E12" s="36">
        <v>0.05</v>
      </c>
      <c r="F12" s="12"/>
      <c r="G12" s="12"/>
      <c r="H12" s="12"/>
      <c r="I12" s="12"/>
      <c r="J12" s="12"/>
      <c r="K12" s="12"/>
      <c r="L12" s="12"/>
      <c r="M12" s="12"/>
      <c r="N12" s="12"/>
      <c r="O12" s="5"/>
    </row>
    <row r="13" spans="2:15">
      <c r="B13" s="4"/>
      <c r="C13" s="37" t="s">
        <v>10</v>
      </c>
      <c r="D13" s="38" t="s">
        <v>11</v>
      </c>
      <c r="E13" s="39">
        <v>0.1</v>
      </c>
      <c r="F13" s="12"/>
      <c r="G13" s="12"/>
      <c r="H13" s="12"/>
      <c r="I13" s="12"/>
      <c r="J13" s="12"/>
      <c r="K13" s="12"/>
      <c r="L13" s="12"/>
      <c r="M13" s="12"/>
      <c r="N13" s="12"/>
      <c r="O13" s="5"/>
    </row>
    <row r="14" spans="2:15">
      <c r="B14" s="4"/>
      <c r="C14" s="25" t="s">
        <v>12</v>
      </c>
      <c r="D14" s="26" t="s">
        <v>13</v>
      </c>
      <c r="E14" s="36">
        <v>5.0000000000000001E-3</v>
      </c>
      <c r="F14" s="12"/>
      <c r="H14" s="12"/>
      <c r="O14" s="5"/>
    </row>
    <row r="15" spans="2:15">
      <c r="B15" s="4"/>
      <c r="C15" s="22"/>
      <c r="D15" s="23"/>
      <c r="E15" s="24"/>
      <c r="F15" s="12"/>
      <c r="H15" s="12"/>
      <c r="O15" s="5"/>
    </row>
    <row r="16" spans="2:15">
      <c r="B16" s="4"/>
      <c r="C16" s="9"/>
      <c r="D16" s="10"/>
      <c r="E16" s="8"/>
      <c r="F16" s="12"/>
      <c r="H16" s="12"/>
      <c r="O16" s="5"/>
    </row>
    <row r="17" spans="2:15" ht="33.950000000000003" customHeight="1">
      <c r="B17" s="4"/>
      <c r="C17" s="9"/>
      <c r="D17" s="10"/>
      <c r="E17" s="9"/>
      <c r="F17" s="41">
        <v>0.12</v>
      </c>
      <c r="G17" s="41"/>
      <c r="H17" s="41">
        <v>-0.2</v>
      </c>
      <c r="I17" s="41"/>
      <c r="J17" s="41">
        <v>0.4</v>
      </c>
      <c r="K17" s="41"/>
      <c r="L17" s="41">
        <v>0.12</v>
      </c>
      <c r="M17" s="41"/>
      <c r="N17" s="41">
        <v>0.15</v>
      </c>
      <c r="O17" s="41"/>
    </row>
    <row r="18" spans="2:15" ht="21.75" thickBot="1">
      <c r="B18" s="4"/>
      <c r="C18" s="44" t="s">
        <v>14</v>
      </c>
      <c r="D18" s="45"/>
      <c r="E18" s="46"/>
      <c r="F18" s="49" t="s">
        <v>15</v>
      </c>
      <c r="G18" s="50"/>
      <c r="H18" s="49" t="s">
        <v>16</v>
      </c>
      <c r="I18" s="50"/>
      <c r="J18" s="49" t="s">
        <v>17</v>
      </c>
      <c r="K18" s="50"/>
      <c r="L18" s="49" t="s">
        <v>18</v>
      </c>
      <c r="M18" s="50"/>
      <c r="N18" s="49" t="s">
        <v>19</v>
      </c>
      <c r="O18" s="50"/>
    </row>
    <row r="19" spans="2:15" ht="21">
      <c r="B19" s="4"/>
      <c r="C19" s="47"/>
      <c r="D19" s="47"/>
      <c r="E19" s="48"/>
      <c r="F19" s="53" t="s">
        <v>20</v>
      </c>
      <c r="G19" s="54"/>
      <c r="H19" s="55" t="s">
        <v>20</v>
      </c>
      <c r="I19" s="54"/>
      <c r="J19" s="55" t="s">
        <v>20</v>
      </c>
      <c r="K19" s="54"/>
      <c r="L19" s="55" t="s">
        <v>20</v>
      </c>
      <c r="M19" s="54"/>
      <c r="N19" s="55" t="s">
        <v>20</v>
      </c>
      <c r="O19" s="56"/>
    </row>
    <row r="20" spans="2:15" ht="24.95" customHeight="1">
      <c r="B20" s="4"/>
      <c r="C20" s="25" t="s">
        <v>21</v>
      </c>
      <c r="D20" s="26" t="s">
        <v>22</v>
      </c>
      <c r="E20" s="27" t="s">
        <v>23</v>
      </c>
      <c r="F20" s="51">
        <f>IF(E9&gt;=5000000,+$E$9,0)</f>
        <v>5000000</v>
      </c>
      <c r="G20" s="51"/>
      <c r="H20" s="51">
        <f>+$F$40</f>
        <v>5474825.2079999996</v>
      </c>
      <c r="I20" s="51"/>
      <c r="J20" s="51">
        <f>+$H$40</f>
        <v>4296397.6824648865</v>
      </c>
      <c r="K20" s="51"/>
      <c r="L20" s="51">
        <f>+$J$40</f>
        <v>5826231.6097765407</v>
      </c>
      <c r="M20" s="51"/>
      <c r="N20" s="51">
        <f>+$L$40</f>
        <v>6379519.9369702041</v>
      </c>
      <c r="O20" s="52"/>
    </row>
    <row r="21" spans="2:15" ht="30">
      <c r="B21" s="4"/>
      <c r="C21" s="28" t="s">
        <v>24</v>
      </c>
      <c r="D21" s="29" t="s">
        <v>25</v>
      </c>
      <c r="E21" s="30" t="s">
        <v>26</v>
      </c>
      <c r="F21" s="57">
        <f>F20*F17</f>
        <v>600000</v>
      </c>
      <c r="G21" s="58"/>
      <c r="H21" s="57">
        <f>H20*H17</f>
        <v>-1094965.0415999999</v>
      </c>
      <c r="I21" s="58"/>
      <c r="J21" s="57">
        <f>J20*J17</f>
        <v>1718559.0729859546</v>
      </c>
      <c r="K21" s="58"/>
      <c r="L21" s="57">
        <f>L20*L17</f>
        <v>699147.79317318485</v>
      </c>
      <c r="M21" s="58"/>
      <c r="N21" s="57">
        <f>N20*N17</f>
        <v>956927.99054553057</v>
      </c>
      <c r="O21" s="59"/>
    </row>
    <row r="22" spans="2:15" ht="30">
      <c r="B22" s="4"/>
      <c r="C22" s="25" t="s">
        <v>27</v>
      </c>
      <c r="D22" s="26" t="s">
        <v>28</v>
      </c>
      <c r="E22" s="27" t="s">
        <v>29</v>
      </c>
      <c r="F22" s="67">
        <f>SUM(F20:G21)</f>
        <v>5600000</v>
      </c>
      <c r="G22" s="61"/>
      <c r="H22" s="67">
        <f>SUM(H20:I21)</f>
        <v>4379860.1663999995</v>
      </c>
      <c r="I22" s="61"/>
      <c r="J22" s="67">
        <f t="shared" ref="J22" si="0">SUM(J20:K21)</f>
        <v>6014956.755450841</v>
      </c>
      <c r="K22" s="61"/>
      <c r="L22" s="67">
        <f t="shared" ref="L22" si="1">SUM(L20:M21)</f>
        <v>6525379.4029497253</v>
      </c>
      <c r="M22" s="61"/>
      <c r="N22" s="67">
        <f t="shared" ref="N22" si="2">SUM(N20:O21)</f>
        <v>7336447.9275157349</v>
      </c>
      <c r="O22" s="62"/>
    </row>
    <row r="23" spans="2:15" ht="15.75">
      <c r="B23" s="4"/>
      <c r="C23" s="63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</row>
    <row r="24" spans="2:15" ht="30">
      <c r="B24" s="4"/>
      <c r="C24" s="25" t="s">
        <v>30</v>
      </c>
      <c r="D24" s="26" t="s">
        <v>31</v>
      </c>
      <c r="E24" s="27" t="s">
        <v>32</v>
      </c>
      <c r="F24" s="60">
        <f>(F20+F22)/2</f>
        <v>5300000</v>
      </c>
      <c r="G24" s="61"/>
      <c r="H24" s="60">
        <f t="shared" ref="H24" si="3">(H20+H22)/2</f>
        <v>4927342.6871999996</v>
      </c>
      <c r="I24" s="61"/>
      <c r="J24" s="60">
        <f t="shared" ref="J24" si="4">(J20+J22)/2</f>
        <v>5155677.2189578637</v>
      </c>
      <c r="K24" s="61"/>
      <c r="L24" s="60">
        <f t="shared" ref="L24" si="5">(L20+L22)/2</f>
        <v>6175805.506363133</v>
      </c>
      <c r="M24" s="61"/>
      <c r="N24" s="60">
        <f t="shared" ref="N24" si="6">(N20+N22)/2</f>
        <v>6857983.9322429691</v>
      </c>
      <c r="O24" s="62"/>
    </row>
    <row r="25" spans="2:15" ht="15.75">
      <c r="B25" s="4"/>
      <c r="C25" s="63"/>
      <c r="D25" s="61"/>
      <c r="E25" s="61"/>
      <c r="F25" s="61"/>
      <c r="G25" s="61"/>
      <c r="H25" s="61"/>
      <c r="I25" s="61"/>
      <c r="J25" s="61"/>
      <c r="K25" s="61"/>
      <c r="L25" s="64"/>
      <c r="M25" s="65"/>
      <c r="N25" s="64"/>
      <c r="O25" s="66"/>
    </row>
    <row r="26" spans="2:15" ht="15.75">
      <c r="B26" s="4"/>
      <c r="C26" s="25" t="s">
        <v>33</v>
      </c>
      <c r="D26" s="26" t="s">
        <v>34</v>
      </c>
      <c r="E26" s="27" t="s">
        <v>35</v>
      </c>
      <c r="F26" s="67">
        <f>F24*-$E$11</f>
        <v>-1060</v>
      </c>
      <c r="G26" s="61"/>
      <c r="H26" s="67">
        <f t="shared" ref="H26" si="7">H24*-$E$11</f>
        <v>-985.46853743999998</v>
      </c>
      <c r="I26" s="61"/>
      <c r="J26" s="67">
        <f t="shared" ref="J26" si="8">J24*-$E$11</f>
        <v>-1031.1354437915727</v>
      </c>
      <c r="K26" s="61"/>
      <c r="L26" s="67">
        <f t="shared" ref="L26" si="9">L24*-$E$11</f>
        <v>-1235.1611012726266</v>
      </c>
      <c r="M26" s="61"/>
      <c r="N26" s="67">
        <f t="shared" ref="N26" si="10">N24*-$E$11</f>
        <v>-1371.5967864485938</v>
      </c>
      <c r="O26" s="62"/>
    </row>
    <row r="27" spans="2:15" ht="15.75">
      <c r="B27" s="4"/>
      <c r="C27" s="25" t="s">
        <v>12</v>
      </c>
      <c r="D27" s="26" t="s">
        <v>36</v>
      </c>
      <c r="E27" s="27" t="s">
        <v>37</v>
      </c>
      <c r="F27" s="67">
        <f>F24*-$E$14</f>
        <v>-26500</v>
      </c>
      <c r="G27" s="61"/>
      <c r="H27" s="67">
        <f t="shared" ref="H27" si="11">H24*-$E$14</f>
        <v>-24636.713435999998</v>
      </c>
      <c r="I27" s="61"/>
      <c r="J27" s="67">
        <f t="shared" ref="J27" si="12">J24*-$E$14</f>
        <v>-25778.386094789319</v>
      </c>
      <c r="K27" s="61"/>
      <c r="L27" s="67">
        <f t="shared" ref="L27" si="13">L24*-$E$14</f>
        <v>-30879.027531815664</v>
      </c>
      <c r="M27" s="61"/>
      <c r="N27" s="67">
        <f t="shared" ref="N27" si="14">N24*-$E$14</f>
        <v>-34289.919661214844</v>
      </c>
      <c r="O27" s="62"/>
    </row>
    <row r="28" spans="2:15" ht="15.75">
      <c r="B28" s="4"/>
      <c r="C28" s="25" t="s">
        <v>38</v>
      </c>
      <c r="D28" s="26" t="s">
        <v>39</v>
      </c>
      <c r="E28" s="25" t="s">
        <v>40</v>
      </c>
      <c r="F28" s="67">
        <f>((F24+F26+F27)*-$E$10)*1.18</f>
        <v>-62214.792000000001</v>
      </c>
      <c r="G28" s="61"/>
      <c r="H28" s="67">
        <f t="shared" ref="H28" si="15">((H24+H26+H27)*-$E$10)*1.18</f>
        <v>-57840.301961673402</v>
      </c>
      <c r="I28" s="61"/>
      <c r="J28" s="67">
        <f t="shared" ref="J28" si="16">((J24+J26+J27)*-$E$10)*1.18</f>
        <v>-60520.638829547534</v>
      </c>
      <c r="K28" s="61"/>
      <c r="L28" s="67">
        <f t="shared" ref="L28" si="17">((L24+L26+L27)*-$E$10)*1.18</f>
        <v>-72495.557549214529</v>
      </c>
      <c r="M28" s="61"/>
      <c r="N28" s="67">
        <f t="shared" ref="N28" si="18">((N24+N26+N27)*-$E$10)*1.18</f>
        <v>-80503.404506384599</v>
      </c>
      <c r="O28" s="62"/>
    </row>
    <row r="29" spans="2:15" ht="30">
      <c r="B29" s="4"/>
      <c r="C29" s="25" t="s">
        <v>41</v>
      </c>
      <c r="D29" s="26" t="s">
        <v>42</v>
      </c>
      <c r="E29" s="25" t="s">
        <v>43</v>
      </c>
      <c r="F29" s="67">
        <f>SUM(F26:G28)</f>
        <v>-89774.792000000001</v>
      </c>
      <c r="G29" s="61"/>
      <c r="H29" s="67">
        <f t="shared" ref="H29" si="19">SUM(H26:I28)</f>
        <v>-83462.4839351134</v>
      </c>
      <c r="I29" s="61"/>
      <c r="J29" s="67">
        <f t="shared" ref="J29" si="20">SUM(J26:K28)</f>
        <v>-87330.160368128418</v>
      </c>
      <c r="K29" s="61"/>
      <c r="L29" s="67">
        <f t="shared" ref="L29" si="21">SUM(L26:M28)</f>
        <v>-104609.74618230283</v>
      </c>
      <c r="M29" s="61"/>
      <c r="N29" s="67">
        <f t="shared" ref="N29" si="22">SUM(N26:O28)</f>
        <v>-116164.92095404804</v>
      </c>
      <c r="O29" s="62"/>
    </row>
    <row r="30" spans="2:15" ht="15.75">
      <c r="B30" s="4"/>
      <c r="C30" s="63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</row>
    <row r="31" spans="2:15" ht="15.75">
      <c r="B31" s="4"/>
      <c r="C31" s="25" t="s">
        <v>44</v>
      </c>
      <c r="D31" s="26" t="s">
        <v>45</v>
      </c>
      <c r="E31" s="25" t="s">
        <v>46</v>
      </c>
      <c r="F31" s="67">
        <f>SUM(F22,F29)</f>
        <v>5510225.2079999996</v>
      </c>
      <c r="G31" s="61"/>
      <c r="H31" s="67">
        <f t="shared" ref="H31" si="23">SUM(H22,H29)</f>
        <v>4296397.6824648865</v>
      </c>
      <c r="I31" s="61"/>
      <c r="J31" s="67">
        <f t="shared" ref="J31" si="24">SUM(J22,J29)</f>
        <v>5927626.5950827124</v>
      </c>
      <c r="K31" s="61"/>
      <c r="L31" s="67">
        <f t="shared" ref="L31" si="25">SUM(L22,L29)</f>
        <v>6420769.6567674223</v>
      </c>
      <c r="M31" s="61"/>
      <c r="N31" s="67">
        <f t="shared" ref="N31" si="26">SUM(N22,N29)</f>
        <v>7220283.0065616872</v>
      </c>
      <c r="O31" s="62"/>
    </row>
    <row r="32" spans="2:15" ht="15.75">
      <c r="B32" s="4"/>
      <c r="C32" s="25" t="s">
        <v>47</v>
      </c>
      <c r="D32" s="26" t="s">
        <v>48</v>
      </c>
      <c r="E32" s="25"/>
      <c r="F32" s="67">
        <f>F31</f>
        <v>5510225.2079999996</v>
      </c>
      <c r="G32" s="61"/>
      <c r="H32" s="67">
        <f>F43</f>
        <v>5474825.2079999996</v>
      </c>
      <c r="I32" s="61"/>
      <c r="J32" s="67">
        <f t="shared" ref="J32" si="27">H43</f>
        <v>5474825.2079999996</v>
      </c>
      <c r="K32" s="61"/>
      <c r="L32" s="67">
        <f t="shared" ref="L32" si="28">J43</f>
        <v>5826231.6097765407</v>
      </c>
      <c r="M32" s="61"/>
      <c r="N32" s="67">
        <f t="shared" ref="N32" si="29">L43</f>
        <v>6379519.9369702041</v>
      </c>
      <c r="O32" s="62"/>
    </row>
    <row r="33" spans="2:15" ht="15.75">
      <c r="B33" s="4"/>
      <c r="C33" s="31" t="s">
        <v>49</v>
      </c>
      <c r="D33" s="26" t="s">
        <v>50</v>
      </c>
      <c r="E33" s="31" t="s">
        <v>51</v>
      </c>
      <c r="F33" s="67">
        <f>F20*$E$13</f>
        <v>500000</v>
      </c>
      <c r="G33" s="61"/>
      <c r="H33" s="67">
        <f>H32*$E$13</f>
        <v>547482.52079999994</v>
      </c>
      <c r="I33" s="61"/>
      <c r="J33" s="67">
        <f t="shared" ref="J33" si="30">J32*$E$13</f>
        <v>547482.52079999994</v>
      </c>
      <c r="K33" s="61"/>
      <c r="L33" s="67">
        <f t="shared" ref="L33" si="31">L32*$E$13</f>
        <v>582623.16097765404</v>
      </c>
      <c r="M33" s="61"/>
      <c r="N33" s="67">
        <f t="shared" ref="N33" si="32">N32*$E$13</f>
        <v>637951.99369702046</v>
      </c>
      <c r="O33" s="62"/>
    </row>
    <row r="34" spans="2:15" ht="15.75">
      <c r="B34" s="4"/>
      <c r="C34" s="31"/>
      <c r="D34" s="26"/>
      <c r="E34" s="31"/>
      <c r="F34" s="67"/>
      <c r="G34" s="61"/>
      <c r="H34" s="64"/>
      <c r="I34" s="65"/>
      <c r="J34" s="64"/>
      <c r="K34" s="65"/>
      <c r="L34" s="64"/>
      <c r="M34" s="65"/>
      <c r="N34" s="64"/>
      <c r="O34" s="66"/>
    </row>
    <row r="35" spans="2:15" ht="30">
      <c r="B35" s="4"/>
      <c r="C35" s="25" t="s">
        <v>52</v>
      </c>
      <c r="D35" s="26" t="s">
        <v>53</v>
      </c>
      <c r="E35" s="25" t="s">
        <v>54</v>
      </c>
      <c r="F35" s="67">
        <f>IF(F17&gt;E13,F21-F33,0)</f>
        <v>100000</v>
      </c>
      <c r="G35" s="61"/>
      <c r="H35" s="67">
        <f>IF(H21&gt;H33,H21-H33,0)</f>
        <v>0</v>
      </c>
      <c r="I35" s="61"/>
      <c r="J35" s="67">
        <f t="shared" ref="J35" si="33">IF(J21&gt;J33,J21-J33,0)</f>
        <v>1171076.5521859545</v>
      </c>
      <c r="K35" s="61"/>
      <c r="L35" s="67">
        <f t="shared" ref="L35" si="34">IF(L21&gt;L33,L21-L33,0)</f>
        <v>116524.63219553081</v>
      </c>
      <c r="M35" s="61"/>
      <c r="N35" s="67">
        <f t="shared" ref="N35" si="35">IF(N21&gt;N33,N21-N33,0)</f>
        <v>318975.99684851011</v>
      </c>
      <c r="O35" s="62"/>
    </row>
    <row r="36" spans="2:15" ht="15.75">
      <c r="B36" s="4"/>
      <c r="C36" s="31" t="s">
        <v>55</v>
      </c>
      <c r="D36" s="26" t="s">
        <v>56</v>
      </c>
      <c r="E36" s="31" t="s">
        <v>57</v>
      </c>
      <c r="F36" s="60">
        <f>IF(F17&gt;E13,F21*$E$12,0)</f>
        <v>30000</v>
      </c>
      <c r="G36" s="61"/>
      <c r="H36" s="60">
        <f>IF(H22&gt;F43,H21*$E$12,0)</f>
        <v>0</v>
      </c>
      <c r="I36" s="61"/>
      <c r="J36" s="60">
        <f t="shared" ref="J36" si="36">IF(J22&gt;H43,J21*$E$12,0)</f>
        <v>85927.953649297735</v>
      </c>
      <c r="K36" s="61"/>
      <c r="L36" s="60">
        <f t="shared" ref="L36" si="37">IF(L22&gt;J43,L21*$E$12,0)</f>
        <v>34957.389658659245</v>
      </c>
      <c r="M36" s="61"/>
      <c r="N36" s="60">
        <f t="shared" ref="N36" si="38">IF(N22&gt;L43,N21*$E$12,0)</f>
        <v>47846.399527276531</v>
      </c>
      <c r="O36" s="62"/>
    </row>
    <row r="37" spans="2:15" ht="30">
      <c r="B37" s="4"/>
      <c r="C37" s="31" t="s">
        <v>58</v>
      </c>
      <c r="D37" s="26" t="s">
        <v>59</v>
      </c>
      <c r="E37" s="31"/>
      <c r="F37" s="60">
        <f>IF(F17&gt;E13,-F36*1.18,0)</f>
        <v>-35400</v>
      </c>
      <c r="G37" s="61"/>
      <c r="H37" s="60">
        <f>IF(H17&gt;G13,-H36*1.18,0)</f>
        <v>0</v>
      </c>
      <c r="I37" s="61"/>
      <c r="J37" s="60">
        <f>IF(J17&gt;I13,-J36*1.18,0)</f>
        <v>-101394.98530617132</v>
      </c>
      <c r="K37" s="61"/>
      <c r="L37" s="60">
        <f>IF(L17&gt;K13,-L36*1.18,0)</f>
        <v>-41249.719797217906</v>
      </c>
      <c r="M37" s="61"/>
      <c r="N37" s="60">
        <f>IF(N17&gt;M13,-N36*1.18,0)</f>
        <v>-56458.751442186302</v>
      </c>
      <c r="O37" s="62"/>
    </row>
    <row r="38" spans="2:15" ht="15.75">
      <c r="B38" s="4"/>
      <c r="C38" s="25" t="s">
        <v>60</v>
      </c>
      <c r="D38" s="26" t="s">
        <v>61</v>
      </c>
      <c r="E38" s="25"/>
      <c r="F38" s="67" t="str">
        <f>IF(F17&gt;E13,"Yes","No")</f>
        <v>Yes</v>
      </c>
      <c r="G38" s="61"/>
      <c r="H38" s="67" t="str">
        <f>IF(H22&gt;F43,"Yes","No")</f>
        <v>No</v>
      </c>
      <c r="I38" s="61"/>
      <c r="J38" s="67" t="str">
        <f t="shared" ref="J38" si="39">IF(J22&gt;H43,"Yes","No")</f>
        <v>Yes</v>
      </c>
      <c r="K38" s="61"/>
      <c r="L38" s="67" t="str">
        <f t="shared" ref="L38" si="40">IF(L22&gt;J43,"Yes","No")</f>
        <v>Yes</v>
      </c>
      <c r="M38" s="61"/>
      <c r="N38" s="67" t="str">
        <f t="shared" ref="N38" si="41">IF(N22&gt;L43,"Yes","No")</f>
        <v>Yes</v>
      </c>
      <c r="O38" s="62"/>
    </row>
    <row r="39" spans="2:15" ht="15.75">
      <c r="B39" s="4"/>
      <c r="C39" s="63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/>
    </row>
    <row r="40" spans="2:15" ht="30">
      <c r="B40" s="4"/>
      <c r="C40" s="25" t="s">
        <v>62</v>
      </c>
      <c r="D40" s="26" t="s">
        <v>63</v>
      </c>
      <c r="E40" s="25" t="s">
        <v>64</v>
      </c>
      <c r="F40" s="75">
        <f>IF(F17&gt;E13,F31+F37,F31)</f>
        <v>5474825.2079999996</v>
      </c>
      <c r="G40" s="61"/>
      <c r="H40" s="75">
        <f>IF(H17&gt;G13,H31+H37,H31)</f>
        <v>4296397.6824648865</v>
      </c>
      <c r="I40" s="61"/>
      <c r="J40" s="75">
        <f>IF(J17&gt;I13,J31+J37,J31)</f>
        <v>5826231.6097765407</v>
      </c>
      <c r="K40" s="61"/>
      <c r="L40" s="75">
        <f>IF(L17&gt;K13,L31+L37,L31)</f>
        <v>6379519.9369702041</v>
      </c>
      <c r="M40" s="61"/>
      <c r="N40" s="75">
        <f>IF(N17&gt;M13,N31+N37,N31)</f>
        <v>7163824.2551195007</v>
      </c>
      <c r="O40" s="62"/>
    </row>
    <row r="41" spans="2:15" ht="36" customHeight="1">
      <c r="B41" s="4"/>
      <c r="C41" s="32" t="s">
        <v>65</v>
      </c>
      <c r="D41" s="33" t="s">
        <v>66</v>
      </c>
      <c r="E41" s="32" t="s">
        <v>67</v>
      </c>
      <c r="F41" s="76">
        <f>(F40-F20)/F20</f>
        <v>9.4965041599999925E-2</v>
      </c>
      <c r="G41" s="77"/>
      <c r="H41" s="76">
        <f t="shared" ref="H41" si="42">(H40-H20)/H20</f>
        <v>-0.21524477599999997</v>
      </c>
      <c r="I41" s="77"/>
      <c r="J41" s="76">
        <f t="shared" ref="J41" si="43">(J40-J20)/J20</f>
        <v>0.35607363199999986</v>
      </c>
      <c r="K41" s="77"/>
      <c r="L41" s="76">
        <f t="shared" ref="L41" si="44">(L40-L20)/L20</f>
        <v>9.4965041599999883E-2</v>
      </c>
      <c r="M41" s="77"/>
      <c r="N41" s="76">
        <f t="shared" ref="N41" si="45">(N40-N20)/N20</f>
        <v>0.12294096200000004</v>
      </c>
      <c r="O41" s="78"/>
    </row>
    <row r="42" spans="2:15" ht="15.75">
      <c r="B42" s="4"/>
      <c r="C42" s="63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/>
    </row>
    <row r="43" spans="2:15" ht="30.75" thickBot="1">
      <c r="B43" s="14"/>
      <c r="C43" s="34" t="s">
        <v>68</v>
      </c>
      <c r="D43" s="35" t="s">
        <v>69</v>
      </c>
      <c r="E43" s="34" t="s">
        <v>70</v>
      </c>
      <c r="F43" s="72">
        <f>MAX(F40)</f>
        <v>5474825.2079999996</v>
      </c>
      <c r="G43" s="73"/>
      <c r="H43" s="72">
        <f>MAX($F$40:I40)</f>
        <v>5474825.2079999996</v>
      </c>
      <c r="I43" s="73"/>
      <c r="J43" s="72">
        <f>MAX($F$40:K40)</f>
        <v>5826231.6097765407</v>
      </c>
      <c r="K43" s="73"/>
      <c r="L43" s="72">
        <f>MAX($F$40:M40)</f>
        <v>6379519.9369702041</v>
      </c>
      <c r="M43" s="73"/>
      <c r="N43" s="72">
        <f>MAX($F$40:O40)</f>
        <v>7163824.2551195007</v>
      </c>
      <c r="O43" s="74"/>
    </row>
    <row r="44" spans="2:15">
      <c r="B44" s="12"/>
      <c r="C44" s="13"/>
      <c r="D44" s="7"/>
      <c r="E44" s="6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2:15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2:15" ht="50.25" customHeight="1">
      <c r="B46" s="11"/>
      <c r="C46" s="70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</sheetData>
  <sheetProtection algorithmName="SHA-512" hashValue="ZRAtlsDcIqr1x4MaU769QXjJt9luJ1kc+NRzuPQRTiAO5oRrrE/xnQMWpq4HyK6HtsbnK9/8zzzF9lxLbc+yig==" saltValue="X3SNyGDDkYzAZ0Lx4pQNeg==" spinCount="100000" sheet="1" objects="1" scenarios="1"/>
  <mergeCells count="122">
    <mergeCell ref="B45:O45"/>
    <mergeCell ref="C46:O46"/>
    <mergeCell ref="C42:O42"/>
    <mergeCell ref="F43:G43"/>
    <mergeCell ref="H43:I43"/>
    <mergeCell ref="J43:K43"/>
    <mergeCell ref="L43:M43"/>
    <mergeCell ref="N43:O43"/>
    <mergeCell ref="F40:G40"/>
    <mergeCell ref="H40:I40"/>
    <mergeCell ref="J40:K40"/>
    <mergeCell ref="L40:M40"/>
    <mergeCell ref="N40:O40"/>
    <mergeCell ref="F41:G41"/>
    <mergeCell ref="H41:I41"/>
    <mergeCell ref="J41:K41"/>
    <mergeCell ref="L41:M41"/>
    <mergeCell ref="N41:O41"/>
    <mergeCell ref="F38:G38"/>
    <mergeCell ref="H38:I38"/>
    <mergeCell ref="J38:K38"/>
    <mergeCell ref="L38:M38"/>
    <mergeCell ref="N38:O38"/>
    <mergeCell ref="C39:O39"/>
    <mergeCell ref="F36:G36"/>
    <mergeCell ref="H36:I36"/>
    <mergeCell ref="J36:K36"/>
    <mergeCell ref="L36:M36"/>
    <mergeCell ref="N36:O36"/>
    <mergeCell ref="F37:G37"/>
    <mergeCell ref="H37:I37"/>
    <mergeCell ref="J37:K37"/>
    <mergeCell ref="L37:M37"/>
    <mergeCell ref="N37:O37"/>
    <mergeCell ref="F34:G34"/>
    <mergeCell ref="H34:I34"/>
    <mergeCell ref="J34:K34"/>
    <mergeCell ref="L34:M34"/>
    <mergeCell ref="N34:O34"/>
    <mergeCell ref="F35:G35"/>
    <mergeCell ref="H35:I35"/>
    <mergeCell ref="J35:K35"/>
    <mergeCell ref="L35:M35"/>
    <mergeCell ref="N35:O35"/>
    <mergeCell ref="F32:G32"/>
    <mergeCell ref="H32:I32"/>
    <mergeCell ref="J32:K32"/>
    <mergeCell ref="L32:M32"/>
    <mergeCell ref="N32:O32"/>
    <mergeCell ref="F33:G33"/>
    <mergeCell ref="H33:I33"/>
    <mergeCell ref="J33:K33"/>
    <mergeCell ref="L33:M33"/>
    <mergeCell ref="N33:O33"/>
    <mergeCell ref="C30:O30"/>
    <mergeCell ref="F31:G31"/>
    <mergeCell ref="H31:I31"/>
    <mergeCell ref="J31:K31"/>
    <mergeCell ref="L31:M31"/>
    <mergeCell ref="N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C25:K25"/>
    <mergeCell ref="L25:M25"/>
    <mergeCell ref="N25:O25"/>
    <mergeCell ref="F22:G22"/>
    <mergeCell ref="H22:I22"/>
    <mergeCell ref="J22:K22"/>
    <mergeCell ref="L22:M22"/>
    <mergeCell ref="N22:O22"/>
    <mergeCell ref="C23:O23"/>
    <mergeCell ref="F21:G21"/>
    <mergeCell ref="H21:I21"/>
    <mergeCell ref="J21:K21"/>
    <mergeCell ref="L21:M21"/>
    <mergeCell ref="N21:O21"/>
    <mergeCell ref="F24:G24"/>
    <mergeCell ref="H24:I24"/>
    <mergeCell ref="J24:K24"/>
    <mergeCell ref="L24:M24"/>
    <mergeCell ref="N24:O24"/>
    <mergeCell ref="F20:G20"/>
    <mergeCell ref="H20:I20"/>
    <mergeCell ref="J20:K20"/>
    <mergeCell ref="L20:M20"/>
    <mergeCell ref="N20:O20"/>
    <mergeCell ref="F19:G19"/>
    <mergeCell ref="H19:I19"/>
    <mergeCell ref="J19:K19"/>
    <mergeCell ref="L19:M19"/>
    <mergeCell ref="N19:O19"/>
    <mergeCell ref="F17:G17"/>
    <mergeCell ref="H17:I17"/>
    <mergeCell ref="J17:K17"/>
    <mergeCell ref="L17:M17"/>
    <mergeCell ref="N17:O17"/>
    <mergeCell ref="E4:H4"/>
    <mergeCell ref="N4:O4"/>
    <mergeCell ref="C18:E19"/>
    <mergeCell ref="F18:G18"/>
    <mergeCell ref="H18:I18"/>
    <mergeCell ref="J18:K18"/>
    <mergeCell ref="L18:M18"/>
    <mergeCell ref="N18:O18"/>
  </mergeCells>
  <dataValidations count="1">
    <dataValidation type="whole" errorStyle="information" operator="greaterThanOrEqual" allowBlank="1" showInputMessage="1" showErrorMessage="1" errorTitle="Minimum Contribution" error="INR 50,00,000" sqref="E9" xr:uid="{1A579004-F860-4670-BB02-BD52A80D31BF}">
      <formula1>5000000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feff5f-2699-4211-8b34-c0a73510c3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7A83257CC994D8354687AAB75D60D" ma:contentTypeVersion="6" ma:contentTypeDescription="Create a new document." ma:contentTypeScope="" ma:versionID="1f26e17a8f702a987f56310a9ebba04c">
  <xsd:schema xmlns:xsd="http://www.w3.org/2001/XMLSchema" xmlns:xs="http://www.w3.org/2001/XMLSchema" xmlns:p="http://schemas.microsoft.com/office/2006/metadata/properties" xmlns:ns3="1dfeff5f-2699-4211-8b34-c0a73510c3a4" targetNamespace="http://schemas.microsoft.com/office/2006/metadata/properties" ma:root="true" ma:fieldsID="8a22861e118da2428bebd0e9225ae584" ns3:_="">
    <xsd:import namespace="1dfeff5f-2699-4211-8b34-c0a73510c3a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eff5f-2699-4211-8b34-c0a73510c3a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3E679D-1538-4D4A-8A43-64EA2CA60028}">
  <ds:schemaRefs>
    <ds:schemaRef ds:uri="http://purl.org/dc/terms/"/>
    <ds:schemaRef ds:uri="http://schemas.microsoft.com/office/2006/documentManagement/types"/>
    <ds:schemaRef ds:uri="http://purl.org/dc/elements/1.1/"/>
    <ds:schemaRef ds:uri="1dfeff5f-2699-4211-8b34-c0a73510c3a4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60D16-37F1-4307-9878-0705964CF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eff5f-2699-4211-8b34-c0a73510c3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92A567-1BE4-4C77-9CA7-C7BE459CFA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Nikun</dc:creator>
  <cp:keywords/>
  <dc:description/>
  <cp:lastModifiedBy>Nikun</cp:lastModifiedBy>
  <cp:revision/>
  <dcterms:created xsi:type="dcterms:W3CDTF">2024-09-30T12:09:48Z</dcterms:created>
  <dcterms:modified xsi:type="dcterms:W3CDTF">2024-10-01T07:09:45Z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0x010100D7C7A83257CC994D8354687AAB75D60D</vt:lpwstr>
  </property>
</Properties>
</file>